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8-19\Austin, Rosanna NCC-030763-18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F11" i="1"/>
  <c r="F10" i="1"/>
  <c r="F12" i="1"/>
  <c r="E11" i="1"/>
  <c r="D10" i="1"/>
  <c r="C12" i="1"/>
  <c r="C11" i="1"/>
  <c r="C10" i="1"/>
  <c r="B11" i="1"/>
  <c r="B10" i="1"/>
  <c r="G46" i="1" l="1"/>
  <c r="G47" i="1"/>
  <c r="G45" i="1"/>
  <c r="G48" i="1" s="1"/>
  <c r="F45" i="1"/>
  <c r="F47" i="1"/>
  <c r="F46" i="1"/>
  <c r="F48" i="1" s="1"/>
  <c r="E45" i="1"/>
  <c r="E48" i="1" s="1"/>
  <c r="E47" i="1"/>
  <c r="E46" i="1"/>
  <c r="D47" i="1"/>
  <c r="D46" i="1"/>
  <c r="D48" i="1" s="1"/>
  <c r="D45" i="1"/>
  <c r="C48" i="1"/>
  <c r="C47" i="1"/>
  <c r="C46" i="1"/>
  <c r="C45" i="1"/>
  <c r="B48" i="1"/>
  <c r="B47" i="1"/>
  <c r="B46" i="1"/>
  <c r="B45" i="1"/>
  <c r="B18" i="1"/>
  <c r="C18" i="1"/>
  <c r="D18" i="1"/>
  <c r="E18" i="1"/>
  <c r="G18" i="1" s="1"/>
  <c r="F18" i="1"/>
  <c r="B19" i="1"/>
  <c r="C19" i="1"/>
  <c r="D19" i="1"/>
  <c r="E19" i="1"/>
  <c r="F19" i="1"/>
  <c r="G19" i="1"/>
  <c r="B20" i="1"/>
  <c r="C20" i="1"/>
  <c r="D20" i="1"/>
  <c r="E20" i="1"/>
  <c r="G20" i="1" s="1"/>
  <c r="F20" i="1"/>
  <c r="B21" i="1"/>
  <c r="C21" i="1"/>
  <c r="D21" i="1"/>
  <c r="F21" i="1"/>
  <c r="E12" i="1"/>
  <c r="D12" i="1"/>
  <c r="B12" i="1"/>
  <c r="G12" i="1" s="1"/>
  <c r="F13" i="1"/>
  <c r="G11" i="1"/>
  <c r="E13" i="1"/>
  <c r="D13" i="1"/>
  <c r="C13" i="1"/>
  <c r="G10" i="1"/>
  <c r="E21" i="1" l="1"/>
  <c r="G21" i="1" s="1"/>
  <c r="B13" i="1"/>
  <c r="G13" i="1" s="1"/>
</calcChain>
</file>

<file path=xl/sharedStrings.xml><?xml version="1.0" encoding="utf-8"?>
<sst xmlns="http://schemas.openxmlformats.org/spreadsheetml/2006/main" count="59" uniqueCount="34">
  <si>
    <t>Total</t>
  </si>
  <si>
    <t>Vehicle Repairs and Maintenance</t>
  </si>
  <si>
    <t>Home to School Transport</t>
  </si>
  <si>
    <t>Furniture</t>
  </si>
  <si>
    <t>Teaching Equipment</t>
  </si>
  <si>
    <t>Books, periodicals and journals</t>
  </si>
  <si>
    <t>Learning Resources non-ICT</t>
  </si>
  <si>
    <t>Printing, photocopying materials curriculum</t>
  </si>
  <si>
    <t>TV Licences</t>
  </si>
  <si>
    <t>Major Awards</t>
  </si>
  <si>
    <t>Operating Lease Curriculum</t>
  </si>
  <si>
    <t>Computer Equipment Curriculum</t>
  </si>
  <si>
    <t>Software Purchases Curriculum</t>
  </si>
  <si>
    <t>More specifically they cover the following:</t>
  </si>
  <si>
    <t>Operating Lease Payments</t>
  </si>
  <si>
    <t>Learning resources covers Consistent Financial Reporting categories E19 Learning Resources non-ICT and E20 Learning Resources ICT, together classed as Capitation</t>
  </si>
  <si>
    <t>Learning Resources ICT</t>
  </si>
  <si>
    <t>Year</t>
  </si>
  <si>
    <t>Area</t>
  </si>
  <si>
    <t>2013 14</t>
  </si>
  <si>
    <t>2014 15</t>
  </si>
  <si>
    <t>2015 16</t>
  </si>
  <si>
    <t xml:space="preserve">2016 17 </t>
  </si>
  <si>
    <t>2017 18</t>
  </si>
  <si>
    <t>Primary</t>
  </si>
  <si>
    <t>Secondary</t>
  </si>
  <si>
    <t>Special</t>
  </si>
  <si>
    <t>CFR categories E19 and E20 excluding Books, Periodicals and Journals</t>
  </si>
  <si>
    <t>Books, Periodicals and Journals only - N.B. this is not necessarily just textbooks</t>
  </si>
  <si>
    <t>Spend in Notts Maintained Schools Financial Years 2013-14 to 2017-18 inclusive on Learning Resources ICT and Non-ICT Primary and Secondary Schools and Special Schools</t>
  </si>
  <si>
    <t xml:space="preserve">This will include schools that have since academised but that were maintained at some point in the 5 year period. It only includes spend while the schools were  maintained. </t>
  </si>
  <si>
    <t>Special schools are also shown for completeness</t>
  </si>
  <si>
    <t>For Learning Resources ICT and Learning Resources non-ICT  detail codes only (which form part of E19 and E20 above) spend was as follows:</t>
  </si>
  <si>
    <t xml:space="preserve">Analysis is by code and relies on correct coding by schools.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</si>
</sst>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164" fontId="1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I17" sqref="I17"/>
    </sheetView>
  </sheetViews>
  <sheetFormatPr defaultRowHeight="15" x14ac:dyDescent="0.25"/>
  <cols>
    <col min="1" max="1" width="13" customWidth="1"/>
    <col min="2" max="7" width="13.5703125" customWidth="1"/>
    <col min="8" max="8" width="11.140625" bestFit="1" customWidth="1"/>
    <col min="11" max="11" width="10.140625" bestFit="1" customWidth="1"/>
    <col min="17" max="17" width="11.140625" bestFit="1" customWidth="1"/>
  </cols>
  <sheetData>
    <row r="1" spans="1:18" x14ac:dyDescent="0.2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8" x14ac:dyDescent="0.25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x14ac:dyDescent="0.25">
      <c r="A3" s="4" t="s">
        <v>31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 x14ac:dyDescent="0.25">
      <c r="A4" s="4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x14ac:dyDescent="0.25">
      <c r="A6" s="1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8" x14ac:dyDescent="0.25"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1"/>
      <c r="B8" s="1" t="s">
        <v>17</v>
      </c>
      <c r="C8" s="1"/>
      <c r="D8" s="1"/>
      <c r="E8" s="1"/>
      <c r="F8" s="1"/>
      <c r="J8" s="8"/>
      <c r="K8" s="9"/>
      <c r="L8" s="8"/>
      <c r="M8" s="8"/>
      <c r="N8" s="8"/>
      <c r="O8" s="8"/>
      <c r="P8" s="8"/>
      <c r="Q8" s="8"/>
      <c r="R8" s="8"/>
    </row>
    <row r="9" spans="1:18" x14ac:dyDescent="0.25">
      <c r="A9" s="1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0</v>
      </c>
      <c r="J9" s="10"/>
      <c r="K9" s="10"/>
      <c r="L9" s="10"/>
      <c r="M9" s="10"/>
      <c r="N9" s="10"/>
      <c r="O9" s="10"/>
      <c r="P9" s="8"/>
      <c r="Q9" s="8"/>
      <c r="R9" s="8"/>
    </row>
    <row r="10" spans="1:18" x14ac:dyDescent="0.25">
      <c r="A10" s="1" t="s">
        <v>24</v>
      </c>
      <c r="B10" s="3">
        <f>3129419+8601624-287560</f>
        <v>11443483</v>
      </c>
      <c r="C10" s="3">
        <f>3679767+9629248-1586621</f>
        <v>11722394</v>
      </c>
      <c r="D10" s="3">
        <f>2301268+9779095-665416</f>
        <v>11414947</v>
      </c>
      <c r="E10" s="3">
        <f>2525480+9575941-1301816</f>
        <v>10799605</v>
      </c>
      <c r="F10" s="3">
        <f>1342347+9570829-1303346</f>
        <v>9609830</v>
      </c>
      <c r="G10" s="5">
        <f t="shared" ref="G10:G12" si="0">SUM(B10:F10)</f>
        <v>54990259</v>
      </c>
      <c r="H10" s="3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1" t="s">
        <v>25</v>
      </c>
      <c r="B11" s="3">
        <f>2563760+724322-1144195</f>
        <v>2143887</v>
      </c>
      <c r="C11" s="3">
        <f>815825+843686-342222</f>
        <v>1317289</v>
      </c>
      <c r="D11" s="3">
        <f>426975+1188780-361183</f>
        <v>1254572</v>
      </c>
      <c r="E11" s="3">
        <f>875945+822369-615937</f>
        <v>1082377</v>
      </c>
      <c r="F11" s="3">
        <f>73039+1043921-304207</f>
        <v>812753</v>
      </c>
      <c r="G11" s="5">
        <f t="shared" si="0"/>
        <v>6610878</v>
      </c>
      <c r="H11" s="3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5">
      <c r="A12" s="1" t="s">
        <v>26</v>
      </c>
      <c r="B12" s="3">
        <f>270536+506396</f>
        <v>776932</v>
      </c>
      <c r="C12" s="3">
        <f>160834+845156+16054</f>
        <v>1022044</v>
      </c>
      <c r="D12" s="3">
        <f>119256+757605</f>
        <v>876861</v>
      </c>
      <c r="E12" s="3">
        <f>99991+499751</f>
        <v>599742</v>
      </c>
      <c r="F12" s="3">
        <f>90719+516605-41070</f>
        <v>566254</v>
      </c>
      <c r="G12" s="5">
        <f t="shared" si="0"/>
        <v>3841833</v>
      </c>
      <c r="H12" s="3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25">
      <c r="A13" s="1" t="s">
        <v>0</v>
      </c>
      <c r="B13" s="7">
        <f>SUM(B10:B12)</f>
        <v>14364302</v>
      </c>
      <c r="C13" s="7">
        <f>SUM(C10:C12)</f>
        <v>14061727</v>
      </c>
      <c r="D13" s="7">
        <f>SUM(D10:D12)</f>
        <v>13546380</v>
      </c>
      <c r="E13" s="7">
        <f>SUM(E10:E12)</f>
        <v>12481724</v>
      </c>
      <c r="F13" s="5">
        <f>SUM(F10:F12)</f>
        <v>10988837</v>
      </c>
      <c r="G13" s="5">
        <f>SUM(B13:F13)</f>
        <v>65442970</v>
      </c>
      <c r="H13" s="3"/>
      <c r="J13" s="8"/>
      <c r="K13" s="8"/>
      <c r="L13" s="8"/>
      <c r="M13" s="8"/>
      <c r="N13" s="8"/>
      <c r="O13" s="8"/>
      <c r="P13" s="8"/>
      <c r="Q13" s="11"/>
      <c r="R13" s="8"/>
    </row>
    <row r="14" spans="1:18" x14ac:dyDescent="0.25">
      <c r="J14" s="8"/>
      <c r="K14" s="8"/>
      <c r="L14" s="8"/>
      <c r="M14" s="8"/>
      <c r="N14" s="8"/>
      <c r="O14" s="8"/>
      <c r="P14" s="8"/>
      <c r="Q14" s="8"/>
      <c r="R14" s="8"/>
    </row>
    <row r="15" spans="1:18" x14ac:dyDescent="0.25">
      <c r="A15" s="1" t="s">
        <v>28</v>
      </c>
      <c r="J15" s="8"/>
      <c r="K15" s="8"/>
      <c r="L15" s="8"/>
      <c r="M15" s="8"/>
      <c r="N15" s="8"/>
      <c r="O15" s="8"/>
      <c r="P15" s="8"/>
      <c r="Q15" s="8"/>
      <c r="R15" s="8"/>
    </row>
    <row r="16" spans="1:18" x14ac:dyDescent="0.25">
      <c r="A16" s="1"/>
      <c r="B16" s="1" t="s">
        <v>17</v>
      </c>
      <c r="C16" s="1"/>
      <c r="D16" s="1"/>
      <c r="E16" s="1"/>
      <c r="F16" s="1"/>
      <c r="J16" s="8"/>
      <c r="K16" s="8"/>
      <c r="L16" s="8"/>
      <c r="M16" s="8"/>
      <c r="N16" s="8"/>
      <c r="O16" s="8"/>
      <c r="P16" s="8"/>
      <c r="Q16" s="8"/>
      <c r="R16" s="8"/>
    </row>
    <row r="17" spans="1:7" x14ac:dyDescent="0.25">
      <c r="A17" s="1" t="s">
        <v>18</v>
      </c>
      <c r="B17" s="1" t="s">
        <v>19</v>
      </c>
      <c r="C17" s="1" t="s">
        <v>20</v>
      </c>
      <c r="D17" s="1" t="s">
        <v>21</v>
      </c>
      <c r="E17" s="1" t="s">
        <v>22</v>
      </c>
      <c r="F17" s="1" t="s">
        <v>23</v>
      </c>
      <c r="G17" s="1" t="s">
        <v>0</v>
      </c>
    </row>
    <row r="18" spans="1:7" x14ac:dyDescent="0.25">
      <c r="A18" s="1" t="s">
        <v>24</v>
      </c>
      <c r="B18" s="3">
        <f>87637+295428</f>
        <v>383065</v>
      </c>
      <c r="C18" s="3">
        <f>59867+290794</f>
        <v>350661</v>
      </c>
      <c r="D18" s="3">
        <f>35885+272166</f>
        <v>308051</v>
      </c>
      <c r="E18" s="3">
        <f>20097+275669</f>
        <v>295766</v>
      </c>
      <c r="F18" s="3">
        <f>11573+243911</f>
        <v>255484</v>
      </c>
      <c r="G18" s="5">
        <f t="shared" ref="G18:G20" si="1">SUM(B18:F18)</f>
        <v>1593027</v>
      </c>
    </row>
    <row r="19" spans="1:7" x14ac:dyDescent="0.25">
      <c r="A19" s="1" t="s">
        <v>25</v>
      </c>
      <c r="B19" s="3">
        <f>51344+24953</f>
        <v>76297</v>
      </c>
      <c r="C19" s="3">
        <f>17218+19554</f>
        <v>36772</v>
      </c>
      <c r="D19" s="3">
        <f>16197+17701</f>
        <v>33898</v>
      </c>
      <c r="E19" s="3">
        <f>343+19274</f>
        <v>19617</v>
      </c>
      <c r="F19" s="3">
        <f>875+14692</f>
        <v>15567</v>
      </c>
      <c r="G19" s="5">
        <f t="shared" si="1"/>
        <v>182151</v>
      </c>
    </row>
    <row r="20" spans="1:7" x14ac:dyDescent="0.25">
      <c r="A20" s="1" t="s">
        <v>26</v>
      </c>
      <c r="B20" s="3">
        <f>458+1633</f>
        <v>2091</v>
      </c>
      <c r="C20" s="3">
        <f>270+1899</f>
        <v>2169</v>
      </c>
      <c r="D20" s="3">
        <f>1635-2529</f>
        <v>-894</v>
      </c>
      <c r="E20" s="3">
        <f>1166-649</f>
        <v>517</v>
      </c>
      <c r="F20" s="3">
        <f>1809-1616</f>
        <v>193</v>
      </c>
      <c r="G20" s="5">
        <f t="shared" si="1"/>
        <v>4076</v>
      </c>
    </row>
    <row r="21" spans="1:7" x14ac:dyDescent="0.25">
      <c r="A21" s="1" t="s">
        <v>0</v>
      </c>
      <c r="B21" s="5">
        <f>SUM(B18:B20)</f>
        <v>461453</v>
      </c>
      <c r="C21" s="5">
        <f>SUM(C18:C20)</f>
        <v>389602</v>
      </c>
      <c r="D21" s="5">
        <f>SUM(D18:D20)</f>
        <v>341055</v>
      </c>
      <c r="E21" s="5">
        <f>SUM(E18:E20)</f>
        <v>315900</v>
      </c>
      <c r="F21" s="5">
        <f>SUM(F18:F20)</f>
        <v>271244</v>
      </c>
      <c r="G21" s="5">
        <f>SUM(B21:F21)</f>
        <v>1779254</v>
      </c>
    </row>
    <row r="23" spans="1:7" x14ac:dyDescent="0.25">
      <c r="A23" t="s">
        <v>15</v>
      </c>
    </row>
    <row r="24" spans="1:7" x14ac:dyDescent="0.25">
      <c r="A24" t="s">
        <v>13</v>
      </c>
    </row>
    <row r="26" spans="1:7" x14ac:dyDescent="0.25">
      <c r="A26" t="s">
        <v>1</v>
      </c>
    </row>
    <row r="27" spans="1:7" x14ac:dyDescent="0.25">
      <c r="A27" t="s">
        <v>2</v>
      </c>
    </row>
    <row r="28" spans="1:7" x14ac:dyDescent="0.25">
      <c r="A28" t="s">
        <v>3</v>
      </c>
    </row>
    <row r="29" spans="1:7" x14ac:dyDescent="0.25">
      <c r="A29" t="s">
        <v>4</v>
      </c>
    </row>
    <row r="30" spans="1:7" x14ac:dyDescent="0.25">
      <c r="A30" t="s">
        <v>5</v>
      </c>
    </row>
    <row r="31" spans="1:7" x14ac:dyDescent="0.25">
      <c r="A31" t="s">
        <v>6</v>
      </c>
    </row>
    <row r="32" spans="1:7" x14ac:dyDescent="0.25">
      <c r="A32" t="s">
        <v>7</v>
      </c>
    </row>
    <row r="33" spans="1:7" x14ac:dyDescent="0.25">
      <c r="A33" t="s">
        <v>8</v>
      </c>
    </row>
    <row r="34" spans="1:7" x14ac:dyDescent="0.25">
      <c r="A34" t="s">
        <v>9</v>
      </c>
    </row>
    <row r="35" spans="1:7" x14ac:dyDescent="0.25">
      <c r="A35" t="s">
        <v>10</v>
      </c>
    </row>
    <row r="36" spans="1:7" x14ac:dyDescent="0.25">
      <c r="A36" t="s">
        <v>16</v>
      </c>
    </row>
    <row r="37" spans="1:7" x14ac:dyDescent="0.25">
      <c r="A37" t="s">
        <v>11</v>
      </c>
    </row>
    <row r="38" spans="1:7" x14ac:dyDescent="0.25">
      <c r="A38" t="s">
        <v>12</v>
      </c>
    </row>
    <row r="39" spans="1:7" x14ac:dyDescent="0.25">
      <c r="A39" t="s">
        <v>14</v>
      </c>
    </row>
    <row r="41" spans="1:7" x14ac:dyDescent="0.25">
      <c r="A41" t="s">
        <v>32</v>
      </c>
    </row>
    <row r="43" spans="1:7" x14ac:dyDescent="0.25">
      <c r="A43" s="1"/>
      <c r="B43" s="1" t="s">
        <v>17</v>
      </c>
      <c r="C43" s="1"/>
      <c r="D43" s="1"/>
      <c r="E43" s="1"/>
      <c r="F43" s="1"/>
    </row>
    <row r="44" spans="1:7" x14ac:dyDescent="0.25">
      <c r="A44" s="1" t="s">
        <v>18</v>
      </c>
      <c r="B44" s="1" t="s">
        <v>19</v>
      </c>
      <c r="C44" s="1" t="s">
        <v>20</v>
      </c>
      <c r="D44" s="1" t="s">
        <v>21</v>
      </c>
      <c r="E44" s="1" t="s">
        <v>22</v>
      </c>
      <c r="F44" s="1" t="s">
        <v>23</v>
      </c>
      <c r="G44" s="1" t="s">
        <v>0</v>
      </c>
    </row>
    <row r="45" spans="1:7" x14ac:dyDescent="0.25">
      <c r="A45" s="1" t="s">
        <v>24</v>
      </c>
      <c r="B45" s="6">
        <f>666986+2573509</f>
        <v>3240495</v>
      </c>
      <c r="C45" s="6">
        <f>556016+2702713</f>
        <v>3258729</v>
      </c>
      <c r="D45" s="6">
        <f>484237+2832443</f>
        <v>3316680</v>
      </c>
      <c r="E45" s="6">
        <f>393099+2928810+1</f>
        <v>3321910</v>
      </c>
      <c r="F45" s="6">
        <f>127919+2905358-1</f>
        <v>3033276</v>
      </c>
      <c r="G45" s="5">
        <f>SUM(B45:F45)</f>
        <v>16171090</v>
      </c>
    </row>
    <row r="46" spans="1:7" x14ac:dyDescent="0.25">
      <c r="A46" s="1" t="s">
        <v>25</v>
      </c>
      <c r="B46" s="3">
        <f>615950+142022</f>
        <v>757972</v>
      </c>
      <c r="C46" s="3">
        <f>180888+87807</f>
        <v>268695</v>
      </c>
      <c r="D46" s="3">
        <f>239698+79247</f>
        <v>318945</v>
      </c>
      <c r="E46" s="3">
        <f>224525+33703</f>
        <v>258228</v>
      </c>
      <c r="F46" s="3">
        <f>42336+53996</f>
        <v>96332</v>
      </c>
      <c r="G46" s="5">
        <f t="shared" ref="G46:G47" si="2">SUM(B46:F46)</f>
        <v>1700172</v>
      </c>
    </row>
    <row r="47" spans="1:7" x14ac:dyDescent="0.25">
      <c r="A47" s="1" t="s">
        <v>26</v>
      </c>
      <c r="B47" s="3">
        <f>70225+91278</f>
        <v>161503</v>
      </c>
      <c r="C47" s="3">
        <f>63689+117849</f>
        <v>181538</v>
      </c>
      <c r="D47" s="3">
        <f>56505+90814</f>
        <v>147319</v>
      </c>
      <c r="E47" s="3">
        <f>47214+101173</f>
        <v>148387</v>
      </c>
      <c r="F47" s="3">
        <f>28708+85929</f>
        <v>114637</v>
      </c>
      <c r="G47" s="5">
        <f t="shared" si="2"/>
        <v>753384</v>
      </c>
    </row>
    <row r="48" spans="1:7" x14ac:dyDescent="0.25">
      <c r="A48" s="1" t="s">
        <v>0</v>
      </c>
      <c r="B48" s="5">
        <f>SUM(B45:B47)</f>
        <v>4159970</v>
      </c>
      <c r="C48" s="5">
        <f t="shared" ref="C48:G48" si="3">SUM(C45:C47)</f>
        <v>3708962</v>
      </c>
      <c r="D48" s="5">
        <f t="shared" si="3"/>
        <v>3782944</v>
      </c>
      <c r="E48" s="5">
        <f t="shared" si="3"/>
        <v>3728525</v>
      </c>
      <c r="F48" s="5">
        <f t="shared" si="3"/>
        <v>3244245</v>
      </c>
      <c r="G48" s="5">
        <f t="shared" si="3"/>
        <v>18624646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Meads</dc:creator>
  <cp:lastModifiedBy>Janet Lowe</cp:lastModifiedBy>
  <dcterms:created xsi:type="dcterms:W3CDTF">2018-12-19T13:47:16Z</dcterms:created>
  <dcterms:modified xsi:type="dcterms:W3CDTF">2019-01-07T10:12:49Z</dcterms:modified>
</cp:coreProperties>
</file>